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05" windowWidth="1740" windowHeight="3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'Sheet1'!$A$1:$O$55</definedName>
  </definedNames>
  <calcPr fullCalcOnLoad="1"/>
</workbook>
</file>

<file path=xl/sharedStrings.xml><?xml version="1.0" encoding="utf-8"?>
<sst xmlns="http://schemas.openxmlformats.org/spreadsheetml/2006/main" count="108" uniqueCount="84">
  <si>
    <t>Calcium</t>
  </si>
  <si>
    <t>Creatinine</t>
  </si>
  <si>
    <t>Uric Acid</t>
  </si>
  <si>
    <t>Oxalate</t>
  </si>
  <si>
    <t>Cystine</t>
  </si>
  <si>
    <t>Citrate</t>
  </si>
  <si>
    <t>Volume</t>
  </si>
  <si>
    <t>Urine Collection</t>
  </si>
  <si>
    <t>Results</t>
  </si>
  <si>
    <t>mg/d</t>
  </si>
  <si>
    <t>l/d</t>
  </si>
  <si>
    <t>ox</t>
  </si>
  <si>
    <t>cyst</t>
  </si>
  <si>
    <t>ca</t>
  </si>
  <si>
    <t>ur</t>
  </si>
  <si>
    <t>Ca/Cr</t>
  </si>
  <si>
    <t>ca/cr</t>
  </si>
  <si>
    <t>&lt;4</t>
  </si>
  <si>
    <t>&lt;0.57</t>
  </si>
  <si>
    <t>&lt;50</t>
  </si>
  <si>
    <t>&lt;60</t>
  </si>
  <si>
    <t>&gt;400</t>
  </si>
  <si>
    <t>&gt;20</t>
  </si>
  <si>
    <t>Units</t>
  </si>
  <si>
    <t>mg/kg/d</t>
  </si>
  <si>
    <t>mg/g creatinine</t>
  </si>
  <si>
    <t>ml/kg/d</t>
  </si>
  <si>
    <t>Height</t>
  </si>
  <si>
    <t>cm</t>
  </si>
  <si>
    <t>Weight</t>
  </si>
  <si>
    <t>kg</t>
  </si>
  <si>
    <t>Serum Creatinine</t>
  </si>
  <si>
    <t>mg/dl</t>
  </si>
  <si>
    <t>Vol</t>
  </si>
  <si>
    <t>Cit</t>
  </si>
  <si>
    <r>
      <t>mg/1.73m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/d</t>
    </r>
  </si>
  <si>
    <t>Last Name</t>
  </si>
  <si>
    <t>First Name</t>
  </si>
  <si>
    <t>Date of Birth</t>
  </si>
  <si>
    <t>Medical Record No.</t>
  </si>
  <si>
    <r>
      <t>Reference Value</t>
    </r>
    <r>
      <rPr>
        <i/>
        <vertAlign val="superscript"/>
        <sz val="9"/>
        <rFont val="Arial Narrow"/>
        <family val="2"/>
      </rPr>
      <t>1</t>
    </r>
  </si>
  <si>
    <t>reference range.</t>
  </si>
  <si>
    <t>are below reference range.</t>
  </si>
  <si>
    <r>
      <t xml:space="preserve">Bars </t>
    </r>
    <r>
      <rPr>
        <b/>
        <i/>
        <sz val="9"/>
        <rFont val="Arial Narrow"/>
        <family val="2"/>
      </rPr>
      <t>below</t>
    </r>
    <r>
      <rPr>
        <i/>
        <sz val="9"/>
        <rFont val="Arial Narrow"/>
        <family val="2"/>
      </rPr>
      <t xml:space="preserve"> dashed line are within reference range; bars above dashed line are above</t>
    </r>
  </si>
  <si>
    <t xml:space="preserve">are within reference range. Bars </t>
  </si>
  <si>
    <r>
      <t xml:space="preserve">Bars which </t>
    </r>
    <r>
      <rPr>
        <b/>
        <i/>
        <sz val="9"/>
        <rFont val="Arial Narrow"/>
        <family val="2"/>
      </rPr>
      <t>cross</t>
    </r>
    <r>
      <rPr>
        <i/>
        <sz val="9"/>
        <rFont val="Arial Narrow"/>
        <family val="2"/>
      </rPr>
      <t xml:space="preserve"> dashed line</t>
    </r>
  </si>
  <si>
    <t>Date of study</t>
  </si>
  <si>
    <r>
      <t>2</t>
    </r>
    <r>
      <rPr>
        <sz val="9"/>
        <rFont val="Arial Narrow"/>
        <family val="2"/>
      </rPr>
      <t xml:space="preserve">Schwartz GJ, </t>
    </r>
    <r>
      <rPr>
        <i/>
        <sz val="9"/>
        <rFont val="Arial Narrow"/>
        <family val="2"/>
      </rPr>
      <t>Pediatr Clin North Am</t>
    </r>
    <r>
      <rPr>
        <sz val="9"/>
        <rFont val="Arial Narrow"/>
        <family val="2"/>
      </rPr>
      <t xml:space="preserve"> 1987; 34:571.</t>
    </r>
  </si>
  <si>
    <r>
      <t xml:space="preserve">which </t>
    </r>
    <r>
      <rPr>
        <b/>
        <sz val="9"/>
        <rFont val="Arial Narrow"/>
        <family val="2"/>
      </rPr>
      <t>do not</t>
    </r>
    <r>
      <rPr>
        <i/>
        <sz val="9"/>
        <rFont val="Arial Narrow"/>
        <family val="2"/>
      </rPr>
      <t xml:space="preserve"> reach dashed line</t>
    </r>
  </si>
  <si>
    <t>Patient</t>
  </si>
  <si>
    <t>Data</t>
  </si>
  <si>
    <t>Standardized</t>
  </si>
  <si>
    <t>Graphic</t>
  </si>
  <si>
    <t>Pediatric Urine Analysis</t>
  </si>
  <si>
    <r>
      <t>1</t>
    </r>
    <r>
      <rPr>
        <sz val="9"/>
        <rFont val="Arial Narrow"/>
        <family val="2"/>
      </rPr>
      <t xml:space="preserve">Stapleton FB, </t>
    </r>
    <r>
      <rPr>
        <i/>
        <sz val="9"/>
        <rFont val="Arial Narrow"/>
        <family val="2"/>
      </rPr>
      <t>Seminars in Nephrology</t>
    </r>
    <r>
      <rPr>
        <sz val="9"/>
        <rFont val="Arial Narrow"/>
        <family val="2"/>
      </rPr>
      <t xml:space="preserve"> 1996;16(5):389-97.</t>
    </r>
  </si>
  <si>
    <t>mg/dl GFR</t>
  </si>
  <si>
    <t>Directions:  Enter information in yellow fields.  Use tab key to move to the next field.</t>
  </si>
  <si>
    <r>
      <t>StoneSheet-24</t>
    </r>
    <r>
      <rPr>
        <b/>
        <vertAlign val="superscript"/>
        <sz val="9"/>
        <color indexed="12"/>
        <rFont val="Arial"/>
        <family val="2"/>
      </rPr>
      <t>TM</t>
    </r>
    <r>
      <rPr>
        <b/>
        <sz val="12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Pediatric 24-Hour Urine Analysis</t>
    </r>
  </si>
  <si>
    <r>
      <t>Designed for use with 24-hour urine collections.  For random (spot) specimens, the StoneSheet Spot</t>
    </r>
    <r>
      <rPr>
        <i/>
        <vertAlign val="superscript"/>
        <sz val="9"/>
        <rFont val="Arial Narrow"/>
        <family val="2"/>
      </rPr>
      <t>TM</t>
    </r>
    <r>
      <rPr>
        <i/>
        <sz val="9"/>
        <rFont val="Arial Narrow"/>
        <family val="2"/>
      </rPr>
      <t xml:space="preserve"> is recommended.</t>
    </r>
  </si>
  <si>
    <t>Sex</t>
  </si>
  <si>
    <t>Pubertal?</t>
  </si>
  <si>
    <t>Age</t>
  </si>
  <si>
    <t>years</t>
  </si>
  <si>
    <t xml:space="preserve">   Use pull-down menus</t>
  </si>
  <si>
    <t>Male</t>
  </si>
  <si>
    <t>Female</t>
  </si>
  <si>
    <t>Yes</t>
  </si>
  <si>
    <t>No</t>
  </si>
  <si>
    <t>mg/mg</t>
  </si>
  <si>
    <t>kidneys@rrmail.com</t>
  </si>
  <si>
    <t>Creatinine Clearance</t>
  </si>
  <si>
    <t xml:space="preserve">   Body Surface Area</t>
  </si>
  <si>
    <t xml:space="preserve">   Measured (UV/P Method)  </t>
  </si>
  <si>
    <r>
      <t>ml/min/1.73 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</si>
  <si>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rFont val="Arial Narrow"/>
        <family val="2"/>
      </rPr>
      <t>2</t>
    </r>
  </si>
  <si>
    <t>May not be sold or distributed without permission.</t>
  </si>
  <si>
    <t>Spreadsheet developed &amp; copyright 2002 by Robert S. Gillespie, MD, MPH</t>
  </si>
  <si>
    <t>Notes:</t>
  </si>
  <si>
    <r>
      <t xml:space="preserve">   Estimated (Schwartz Method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</si>
  <si>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24 Hour</t>
  </si>
  <si>
    <t>pH=</t>
  </si>
  <si>
    <t xml:space="preserve">       Release 3.8</t>
  </si>
  <si>
    <t>Children's Hospital</t>
  </si>
  <si>
    <t>Division of Nephrology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</si>
</sst>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\-0;;@"/>
  </numFmts>
  <fonts count="3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1.25"/>
      <name val="Arial"/>
      <family val="0"/>
    </font>
    <font>
      <sz val="10"/>
      <color indexed="11"/>
      <name val="Arial"/>
      <family val="2"/>
    </font>
    <font>
      <sz val="9.75"/>
      <name val="Arial"/>
      <family val="2"/>
    </font>
    <font>
      <sz val="3.25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9"/>
      <name val="Arial Narrow"/>
      <family val="2"/>
    </font>
    <font>
      <sz val="6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i/>
      <vertAlign val="superscript"/>
      <sz val="9"/>
      <name val="Arial Narrow"/>
      <family val="2"/>
    </font>
    <font>
      <sz val="11"/>
      <name val="Arial"/>
      <family val="2"/>
    </font>
    <font>
      <vertAlign val="superscript"/>
      <sz val="9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z val="10"/>
      <color indexed="9"/>
      <name val="Arial"/>
      <family val="2"/>
    </font>
    <font>
      <b/>
      <sz val="10"/>
      <name val="Arial Narrow"/>
      <family val="2"/>
    </font>
    <font>
      <b/>
      <sz val="12"/>
      <color indexed="12"/>
      <name val="Arial"/>
      <family val="2"/>
    </font>
    <font>
      <b/>
      <vertAlign val="superscript"/>
      <sz val="9"/>
      <color indexed="12"/>
      <name val="Arial"/>
      <family val="2"/>
    </font>
    <font>
      <b/>
      <sz val="12"/>
      <color indexed="63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 Narrow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ck">
        <color indexed="39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57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1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33"/>
      </left>
      <right style="thick">
        <color indexed="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39"/>
      </left>
      <right style="thick">
        <color indexed="39"/>
      </right>
      <top style="thick">
        <color indexed="39"/>
      </top>
      <bottom>
        <color indexed="63"/>
      </bottom>
    </border>
    <border>
      <left style="thick">
        <color indexed="11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57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33"/>
      </left>
      <right style="thick">
        <color indexed="33"/>
      </right>
      <top style="thick">
        <color indexed="33"/>
      </top>
      <bottom>
        <color indexed="63"/>
      </bottom>
    </border>
    <border>
      <left style="thick">
        <color indexed="35"/>
      </left>
      <right style="thick">
        <color indexed="35"/>
      </right>
      <top style="thick">
        <color indexed="35"/>
      </top>
      <bottom>
        <color indexed="63"/>
      </bottom>
    </border>
    <border>
      <left style="thick">
        <color indexed="51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>
        <color indexed="39"/>
      </right>
      <top style="medium"/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39"/>
      </left>
      <right style="thick">
        <color indexed="29"/>
      </right>
      <top style="medium"/>
      <bottom>
        <color indexed="63"/>
      </bottom>
    </border>
    <border>
      <left style="thick">
        <color indexed="39"/>
      </left>
      <right style="thick">
        <color indexed="29"/>
      </right>
      <top>
        <color indexed="63"/>
      </top>
      <bottom>
        <color indexed="63"/>
      </bottom>
    </border>
    <border>
      <left style="thick">
        <color indexed="29"/>
      </left>
      <right style="thick">
        <color indexed="11"/>
      </right>
      <top style="medium"/>
      <bottom>
        <color indexed="63"/>
      </bottom>
    </border>
    <border>
      <left style="thick">
        <color indexed="29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 style="thick">
        <color indexed="33"/>
      </right>
      <top style="medium"/>
      <bottom>
        <color indexed="63"/>
      </bottom>
    </border>
    <border>
      <left style="thick">
        <color indexed="11"/>
      </left>
      <right style="thick">
        <color indexed="33"/>
      </right>
      <top>
        <color indexed="63"/>
      </top>
      <bottom>
        <color indexed="63"/>
      </bottom>
    </border>
    <border>
      <left style="thick">
        <color indexed="33"/>
      </left>
      <right style="thick">
        <color indexed="57"/>
      </right>
      <top style="medium"/>
      <bottom>
        <color indexed="63"/>
      </bottom>
    </border>
    <border>
      <left style="thick">
        <color indexed="3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 style="thick">
        <color indexed="35"/>
      </right>
      <top style="medium"/>
      <bottom>
        <color indexed="63"/>
      </bottom>
    </border>
    <border>
      <left style="thick">
        <color indexed="57"/>
      </left>
      <right style="thick">
        <color indexed="35"/>
      </right>
      <top>
        <color indexed="63"/>
      </top>
      <bottom>
        <color indexed="63"/>
      </bottom>
    </border>
    <border>
      <left style="thick">
        <color indexed="35"/>
      </left>
      <right style="thick">
        <color indexed="51"/>
      </right>
      <top style="medium"/>
      <bottom>
        <color indexed="63"/>
      </bottom>
    </border>
    <border>
      <left style="thick">
        <color indexed="35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35"/>
      </left>
      <right style="thick">
        <color indexed="35"/>
      </right>
      <top>
        <color indexed="63"/>
      </top>
      <bottom>
        <color indexed="63"/>
      </bottom>
    </border>
    <border>
      <left style="thick">
        <color indexed="29"/>
      </left>
      <right style="thick">
        <color indexed="2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29"/>
      </left>
      <right style="thick">
        <color indexed="29"/>
      </right>
      <top style="thick">
        <color indexed="29"/>
      </top>
      <bottom>
        <color indexed="63"/>
      </bottom>
    </border>
    <border>
      <left style="thick">
        <color indexed="39"/>
      </left>
      <right style="thick">
        <color indexed="39"/>
      </right>
      <top style="thin">
        <color indexed="39"/>
      </top>
      <bottom style="thick">
        <color indexed="39"/>
      </bottom>
    </border>
    <border>
      <left style="thick">
        <color indexed="29"/>
      </left>
      <right style="thick">
        <color indexed="29"/>
      </right>
      <top style="thin">
        <color indexed="29"/>
      </top>
      <bottom style="thick">
        <color indexed="29"/>
      </bottom>
    </border>
    <border>
      <left style="thick">
        <color indexed="11"/>
      </left>
      <right style="thick">
        <color indexed="11"/>
      </right>
      <top style="thin">
        <color indexed="11"/>
      </top>
      <bottom style="thick">
        <color indexed="11"/>
      </bottom>
    </border>
    <border>
      <left style="thick">
        <color indexed="33"/>
      </left>
      <right style="thick">
        <color indexed="33"/>
      </right>
      <top style="thin">
        <color indexed="33"/>
      </top>
      <bottom style="thick">
        <color indexed="33"/>
      </bottom>
    </border>
    <border>
      <left style="thick">
        <color indexed="57"/>
      </left>
      <right style="thick">
        <color indexed="57"/>
      </right>
      <top style="thin">
        <color indexed="57"/>
      </top>
      <bottom style="thick">
        <color indexed="57"/>
      </bottom>
    </border>
    <border>
      <left style="thick">
        <color indexed="35"/>
      </left>
      <right style="thick">
        <color indexed="35"/>
      </right>
      <top style="thin">
        <color indexed="35"/>
      </top>
      <bottom style="thick">
        <color indexed="35"/>
      </bottom>
    </border>
    <border>
      <left style="thick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>
        <color indexed="39"/>
      </right>
      <top style="thin"/>
      <bottom style="medium"/>
    </border>
    <border>
      <left style="thick">
        <color indexed="39"/>
      </left>
      <right style="thick">
        <color indexed="29"/>
      </right>
      <top style="thin"/>
      <bottom style="medium"/>
    </border>
    <border>
      <left style="thick">
        <color indexed="29"/>
      </left>
      <right style="thick">
        <color indexed="11"/>
      </right>
      <top style="thin"/>
      <bottom style="medium"/>
    </border>
    <border>
      <left style="thick">
        <color indexed="11"/>
      </left>
      <right style="thick">
        <color indexed="33"/>
      </right>
      <top style="thin"/>
      <bottom style="medium"/>
    </border>
    <border>
      <left style="thick">
        <color indexed="33"/>
      </left>
      <right style="thick">
        <color indexed="57"/>
      </right>
      <top style="thin"/>
      <bottom style="medium"/>
    </border>
    <border>
      <left style="thick">
        <color indexed="57"/>
      </left>
      <right style="thick">
        <color indexed="35"/>
      </right>
      <top style="thin"/>
      <bottom style="medium"/>
    </border>
    <border>
      <left style="thick">
        <color indexed="35"/>
      </left>
      <right style="thick">
        <color indexed="51"/>
      </right>
      <top style="thin"/>
      <bottom style="medium"/>
    </border>
    <border>
      <left style="medium">
        <color indexed="51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1" fontId="0" fillId="0" borderId="32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6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8" xfId="0" applyFont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0" fontId="23" fillId="0" borderId="36" xfId="0" applyFont="1" applyBorder="1" applyAlignment="1">
      <alignment/>
    </xf>
    <xf numFmtId="0" fontId="0" fillId="0" borderId="41" xfId="0" applyBorder="1" applyAlignment="1">
      <alignment/>
    </xf>
    <xf numFmtId="0" fontId="16" fillId="0" borderId="35" xfId="0" applyFont="1" applyFill="1" applyBorder="1" applyAlignment="1">
      <alignment/>
    </xf>
    <xf numFmtId="0" fontId="17" fillId="0" borderId="6" xfId="0" applyFont="1" applyBorder="1" applyAlignment="1">
      <alignment/>
    </xf>
    <xf numFmtId="0" fontId="0" fillId="0" borderId="42" xfId="0" applyBorder="1" applyAlignment="1">
      <alignment/>
    </xf>
    <xf numFmtId="0" fontId="9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" fontId="1" fillId="0" borderId="45" xfId="0" applyNumberFormat="1" applyFont="1" applyBorder="1" applyAlignment="1">
      <alignment/>
    </xf>
    <xf numFmtId="1" fontId="1" fillId="0" borderId="45" xfId="0" applyNumberFormat="1" applyFont="1" applyFill="1" applyBorder="1" applyAlignment="1">
      <alignment/>
    </xf>
    <xf numFmtId="0" fontId="24" fillId="0" borderId="42" xfId="0" applyFont="1" applyBorder="1" applyAlignment="1">
      <alignment/>
    </xf>
    <xf numFmtId="0" fontId="24" fillId="0" borderId="35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37" xfId="0" applyFont="1" applyBorder="1" applyAlignment="1">
      <alignment/>
    </xf>
    <xf numFmtId="0" fontId="1" fillId="0" borderId="0" xfId="0" applyFont="1" applyAlignment="1">
      <alignment/>
    </xf>
    <xf numFmtId="0" fontId="0" fillId="2" borderId="46" xfId="0" applyFill="1" applyBorder="1" applyAlignment="1" applyProtection="1">
      <alignment horizontal="center"/>
      <protection locked="0"/>
    </xf>
    <xf numFmtId="14" fontId="0" fillId="2" borderId="46" xfId="0" applyNumberFormat="1" applyFill="1" applyBorder="1" applyAlignment="1" applyProtection="1">
      <alignment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5" fontId="0" fillId="0" borderId="3" xfId="0" applyNumberFormat="1" applyFill="1" applyBorder="1" applyAlignment="1">
      <alignment horizontal="center"/>
    </xf>
    <xf numFmtId="165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0" fontId="12" fillId="0" borderId="0" xfId="0" applyFont="1" applyAlignment="1">
      <alignment/>
    </xf>
    <xf numFmtId="2" fontId="1" fillId="0" borderId="4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1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8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29" fillId="0" borderId="35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 applyProtection="1">
      <alignment/>
      <protection locked="0"/>
    </xf>
    <xf numFmtId="0" fontId="8" fillId="0" borderId="33" xfId="0" applyFont="1" applyFill="1" applyBorder="1" applyAlignment="1">
      <alignment horizontal="center"/>
    </xf>
    <xf numFmtId="0" fontId="23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43" xfId="0" applyFont="1" applyBorder="1" applyAlignment="1">
      <alignment/>
    </xf>
    <xf numFmtId="0" fontId="16" fillId="0" borderId="64" xfId="0" applyFont="1" applyBorder="1" applyAlignment="1">
      <alignment/>
    </xf>
    <xf numFmtId="0" fontId="0" fillId="0" borderId="64" xfId="0" applyBorder="1" applyAlignment="1">
      <alignment/>
    </xf>
    <xf numFmtId="0" fontId="0" fillId="0" borderId="36" xfId="0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35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35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7" xfId="0" applyFont="1" applyBorder="1" applyAlignment="1">
      <alignment/>
    </xf>
    <xf numFmtId="0" fontId="2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0" fontId="33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4" fillId="2" borderId="65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14" fontId="14" fillId="2" borderId="65" xfId="0" applyNumberFormat="1" applyFont="1" applyFill="1" applyBorder="1" applyAlignment="1" applyProtection="1">
      <alignment/>
      <protection locked="0"/>
    </xf>
    <xf numFmtId="14" fontId="0" fillId="0" borderId="41" xfId="0" applyNumberFormat="1" applyBorder="1" applyAlignment="1" applyProtection="1">
      <alignment/>
      <protection locked="0"/>
    </xf>
    <xf numFmtId="14" fontId="0" fillId="0" borderId="66" xfId="0" applyNumberFormat="1" applyBorder="1" applyAlignment="1" applyProtection="1">
      <alignment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Sheet1!$C$20</c:f>
              <c:strCache>
                <c:ptCount val="1"/>
                <c:pt idx="0">
                  <c:v>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Sheet1!$D$19:$H$19</c:f>
              <c:strCache/>
            </c:strRef>
          </c:cat>
          <c:val>
            <c:numRef>
              <c:f>Sheet1!$D$20:$H$20</c:f>
              <c:numCache/>
            </c:numRef>
          </c:val>
        </c:ser>
        <c:ser>
          <c:idx val="1"/>
          <c:order val="1"/>
          <c:tx>
            <c:strRef>
              <c:f>Sheet1!$C$21</c:f>
              <c:strCache>
                <c:ptCount val="1"/>
                <c:pt idx="0">
                  <c:v>ca/cr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Sheet1!$D$19:$H$19</c:f>
              <c:strCache/>
            </c:strRef>
          </c:cat>
          <c:val>
            <c:numRef>
              <c:f>Sheet1!$D$21:$H$21</c:f>
              <c:numCache/>
            </c:numRef>
          </c:val>
        </c:ser>
        <c:ser>
          <c:idx val="2"/>
          <c:order val="2"/>
          <c:tx>
            <c:strRef>
              <c:f>Sheet1!$C$22</c:f>
              <c:strCache>
                <c:ptCount val="1"/>
                <c:pt idx="0">
                  <c:v>ur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Sheet1!$D$19:$H$19</c:f>
              <c:strCache/>
            </c:strRef>
          </c:cat>
          <c:val>
            <c:numRef>
              <c:f>Sheet1!$D$22:$H$22</c:f>
              <c:numCache/>
            </c:numRef>
          </c:val>
        </c:ser>
        <c:ser>
          <c:idx val="3"/>
          <c:order val="3"/>
          <c:tx>
            <c:strRef>
              <c:f>Sheet1!$C$23</c:f>
              <c:strCache>
                <c:ptCount val="1"/>
                <c:pt idx="0">
                  <c:v>ox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Sheet1!$D$19:$H$19</c:f>
              <c:strCache/>
            </c:strRef>
          </c:cat>
          <c:val>
            <c:numRef>
              <c:f>Sheet1!$D$23:$H$23</c:f>
              <c:numCache/>
            </c:numRef>
          </c:val>
        </c:ser>
        <c:ser>
          <c:idx val="4"/>
          <c:order val="4"/>
          <c:tx>
            <c:strRef>
              <c:f>Sheet1!$C$24</c:f>
              <c:strCache>
                <c:ptCount val="1"/>
                <c:pt idx="0">
                  <c:v>cyst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Sheet1!$D$19:$H$19</c:f>
              <c:strCache/>
            </c:strRef>
          </c:cat>
          <c:val>
            <c:numRef>
              <c:f>Sheet1!$D$24:$H$24</c:f>
              <c:numCache/>
            </c:numRef>
          </c:val>
        </c:ser>
        <c:overlap val="100"/>
        <c:axId val="16490847"/>
        <c:axId val="14199896"/>
      </c:bar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99896"/>
        <c:crosses val="autoZero"/>
        <c:auto val="1"/>
        <c:lblOffset val="100"/>
        <c:noMultiLvlLbl val="0"/>
      </c:catAx>
      <c:valAx>
        <c:axId val="14199896"/>
        <c:scaling>
          <c:orientation val="minMax"/>
          <c:max val="100"/>
          <c:min val="0"/>
        </c:scaling>
        <c:axPos val="l"/>
        <c:majorGridlines/>
        <c:delete val="1"/>
        <c:majorTickMark val="out"/>
        <c:minorTickMark val="none"/>
        <c:tickLblPos val="nextTo"/>
        <c:crossAx val="16490847"/>
        <c:crossesAt val="1"/>
        <c:crossBetween val="between"/>
        <c:dispUnits/>
        <c:majorUnit val="100"/>
        <c:minorUnit val="100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85"/>
          <c:w val="0.864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Sheet1!$M$21</c:f>
              <c:strCache>
                <c:ptCount val="1"/>
                <c:pt idx="0">
                  <c:v>Cit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Sheet1!$N$20:$O$20</c:f>
              <c:strCache/>
            </c:strRef>
          </c:cat>
          <c:val>
            <c:numRef>
              <c:f>Sheet1!$N$21:$O$21</c:f>
              <c:numCache/>
            </c:numRef>
          </c:val>
        </c:ser>
        <c:ser>
          <c:idx val="1"/>
          <c:order val="1"/>
          <c:tx>
            <c:strRef>
              <c:f>Sheet1!$M$22</c:f>
              <c:strCache>
                <c:ptCount val="1"/>
                <c:pt idx="0">
                  <c:v>Vol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Sheet1!$N$20:$O$20</c:f>
              <c:strCache/>
            </c:strRef>
          </c:cat>
          <c:val>
            <c:numRef>
              <c:f>Sheet1!$N$22:$O$22</c:f>
              <c:numCache/>
            </c:numRef>
          </c:val>
        </c:ser>
        <c:overlap val="100"/>
        <c:axId val="60690201"/>
        <c:axId val="9340898"/>
      </c:barChart>
      <c:cat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340898"/>
        <c:crosses val="autoZero"/>
        <c:auto val="1"/>
        <c:lblOffset val="100"/>
        <c:noMultiLvlLbl val="0"/>
      </c:catAx>
      <c:valAx>
        <c:axId val="9340898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690201"/>
        <c:crossesAt val="1"/>
        <c:crossBetween val="between"/>
        <c:dispUnits/>
        <c:majorUnit val="100"/>
        <c:minorUnit val="0.902824267782427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38100</xdr:rowOff>
    </xdr:from>
    <xdr:to>
      <xdr:col>11</xdr:col>
      <xdr:colOff>19050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790575" y="3267075"/>
        <a:ext cx="3790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18</xdr:row>
      <xdr:rowOff>38100</xdr:rowOff>
    </xdr:from>
    <xdr:to>
      <xdr:col>14</xdr:col>
      <xdr:colOff>561975</xdr:colOff>
      <xdr:row>34</xdr:row>
      <xdr:rowOff>19050</xdr:rowOff>
    </xdr:to>
    <xdr:graphicFrame>
      <xdr:nvGraphicFramePr>
        <xdr:cNvPr id="2" name="Chart 7"/>
        <xdr:cNvGraphicFramePr/>
      </xdr:nvGraphicFramePr>
      <xdr:xfrm>
        <a:off x="4667250" y="3267075"/>
        <a:ext cx="14954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27</xdr:row>
      <xdr:rowOff>28575</xdr:rowOff>
    </xdr:from>
    <xdr:to>
      <xdr:col>15</xdr:col>
      <xdr:colOff>0</xdr:colOff>
      <xdr:row>27</xdr:row>
      <xdr:rowOff>28575</xdr:rowOff>
    </xdr:to>
    <xdr:sp>
      <xdr:nvSpPr>
        <xdr:cNvPr id="3" name="Line 10"/>
        <xdr:cNvSpPr>
          <a:spLocks/>
        </xdr:cNvSpPr>
      </xdr:nvSpPr>
      <xdr:spPr>
        <a:xfrm>
          <a:off x="742950" y="4714875"/>
          <a:ext cx="54673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32</xdr:row>
      <xdr:rowOff>9525</xdr:rowOff>
    </xdr:from>
    <xdr:to>
      <xdr:col>14</xdr:col>
      <xdr:colOff>542925</xdr:colOff>
      <xdr:row>33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4876800" y="5505450"/>
          <a:ext cx="1266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  Citrate   Volume</a:t>
          </a:r>
        </a:p>
      </xdr:txBody>
    </xdr:sp>
    <xdr:clientData/>
  </xdr:twoCellAnchor>
  <xdr:twoCellAnchor editAs="oneCell">
    <xdr:from>
      <xdr:col>2</xdr:col>
      <xdr:colOff>228600</xdr:colOff>
      <xdr:row>49</xdr:row>
      <xdr:rowOff>9525</xdr:rowOff>
    </xdr:from>
    <xdr:to>
      <xdr:col>4</xdr:col>
      <xdr:colOff>209550</xdr:colOff>
      <xdr:row>51</xdr:row>
      <xdr:rowOff>19050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8439150"/>
          <a:ext cx="77152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5"/>
  <sheetViews>
    <sheetView showGridLines="0" tabSelected="1" view="pageBreakPreview" zoomScaleSheetLayoutView="100" workbookViewId="0" topLeftCell="A1">
      <selection activeCell="A51" sqref="A51"/>
    </sheetView>
  </sheetViews>
  <sheetFormatPr defaultColWidth="9.140625" defaultRowHeight="12.75"/>
  <cols>
    <col min="2" max="2" width="2.7109375" style="0" customWidth="1"/>
    <col min="4" max="4" width="2.7109375" style="0" customWidth="1"/>
    <col min="6" max="6" width="2.7109375" style="0" customWidth="1"/>
    <col min="8" max="8" width="2.7109375" style="0" customWidth="1"/>
    <col min="10" max="10" width="2.7109375" style="0" customWidth="1"/>
    <col min="12" max="12" width="2.7109375" style="0" customWidth="1"/>
    <col min="13" max="13" width="10.140625" style="0" bestFit="1" customWidth="1"/>
    <col min="14" max="14" width="2.7109375" style="0" customWidth="1"/>
  </cols>
  <sheetData>
    <row r="1" ht="15.75">
      <c r="D1" s="100" t="s">
        <v>57</v>
      </c>
    </row>
    <row r="2" spans="1:4" ht="13.5">
      <c r="A2" s="96"/>
      <c r="D2" s="96" t="s">
        <v>56</v>
      </c>
    </row>
    <row r="3" spans="1:4" ht="16.5" thickBot="1">
      <c r="A3" s="96"/>
      <c r="B3" s="96" t="s">
        <v>58</v>
      </c>
      <c r="D3" s="96"/>
    </row>
    <row r="4" spans="1:15" ht="13.5" thickBot="1">
      <c r="A4" s="82" t="s">
        <v>49</v>
      </c>
      <c r="B4" s="6"/>
      <c r="C4" s="57" t="s">
        <v>36</v>
      </c>
      <c r="D4" s="6"/>
      <c r="E4" s="6"/>
      <c r="F4" s="6"/>
      <c r="G4" s="57" t="s">
        <v>37</v>
      </c>
      <c r="H4" s="6"/>
      <c r="I4" s="6"/>
      <c r="J4" s="57" t="s">
        <v>38</v>
      </c>
      <c r="K4" s="6"/>
      <c r="L4" s="73"/>
      <c r="M4" s="57" t="s">
        <v>39</v>
      </c>
      <c r="N4" s="6"/>
      <c r="O4" s="49"/>
    </row>
    <row r="5" spans="1:15" ht="16.5" thickBot="1">
      <c r="A5" s="83" t="s">
        <v>50</v>
      </c>
      <c r="B5" s="7"/>
      <c r="C5" s="152"/>
      <c r="D5" s="153"/>
      <c r="E5" s="153"/>
      <c r="F5" s="154"/>
      <c r="G5" s="152"/>
      <c r="H5" s="153"/>
      <c r="I5" s="154"/>
      <c r="J5" s="155"/>
      <c r="K5" s="156"/>
      <c r="L5" s="157"/>
      <c r="M5" s="152"/>
      <c r="N5" s="154"/>
      <c r="O5" s="51"/>
    </row>
    <row r="6" spans="1:15" ht="13.5">
      <c r="A6" s="50"/>
      <c r="B6" s="7"/>
      <c r="C6" s="54" t="s">
        <v>27</v>
      </c>
      <c r="D6" s="54"/>
      <c r="E6" s="54" t="s">
        <v>29</v>
      </c>
      <c r="F6" s="54"/>
      <c r="G6" s="55" t="s">
        <v>31</v>
      </c>
      <c r="H6" s="120"/>
      <c r="I6" s="121" t="s">
        <v>59</v>
      </c>
      <c r="J6" s="7"/>
      <c r="K6" s="119" t="s">
        <v>60</v>
      </c>
      <c r="L6" s="6"/>
      <c r="M6" s="123" t="s">
        <v>46</v>
      </c>
      <c r="N6" s="7"/>
      <c r="O6" s="125" t="s">
        <v>61</v>
      </c>
    </row>
    <row r="7" spans="1:15" ht="12.75">
      <c r="A7" s="50"/>
      <c r="B7" s="7"/>
      <c r="C7" s="88"/>
      <c r="D7" s="54"/>
      <c r="E7" s="88"/>
      <c r="F7" s="54"/>
      <c r="G7" s="88"/>
      <c r="H7" s="64"/>
      <c r="I7" s="88" t="s">
        <v>65</v>
      </c>
      <c r="J7" s="7"/>
      <c r="K7" s="132" t="s">
        <v>67</v>
      </c>
      <c r="L7" s="63"/>
      <c r="M7" s="89"/>
      <c r="N7" s="7"/>
      <c r="O7" s="127">
        <f>IF(ISERROR(O33),"",O33)</f>
        <v>0</v>
      </c>
    </row>
    <row r="8" spans="1:15" ht="14.25" thickBot="1">
      <c r="A8" s="52"/>
      <c r="B8" s="8"/>
      <c r="C8" s="131" t="s">
        <v>28</v>
      </c>
      <c r="D8" s="56"/>
      <c r="E8" s="56" t="s">
        <v>30</v>
      </c>
      <c r="F8" s="56"/>
      <c r="G8" s="56" t="s">
        <v>32</v>
      </c>
      <c r="H8" s="56"/>
      <c r="I8" s="122" t="s">
        <v>63</v>
      </c>
      <c r="J8" s="8"/>
      <c r="K8" s="19"/>
      <c r="L8" s="8"/>
      <c r="M8" s="124"/>
      <c r="N8" s="8"/>
      <c r="O8" s="126" t="s">
        <v>62</v>
      </c>
    </row>
    <row r="9" spans="1:15" ht="13.5">
      <c r="A9" s="85" t="s">
        <v>79</v>
      </c>
      <c r="B9" s="6"/>
      <c r="C9" s="9" t="s">
        <v>0</v>
      </c>
      <c r="D9" s="58"/>
      <c r="E9" s="59" t="s">
        <v>1</v>
      </c>
      <c r="F9" s="58"/>
      <c r="G9" s="60" t="s">
        <v>2</v>
      </c>
      <c r="H9" s="58"/>
      <c r="I9" s="60" t="s">
        <v>3</v>
      </c>
      <c r="J9" s="58"/>
      <c r="K9" s="60" t="s">
        <v>4</v>
      </c>
      <c r="L9" s="58"/>
      <c r="M9" s="60" t="s">
        <v>5</v>
      </c>
      <c r="N9" s="58"/>
      <c r="O9" s="61" t="s">
        <v>6</v>
      </c>
    </row>
    <row r="10" spans="1:15" ht="13.5">
      <c r="A10" s="84" t="s">
        <v>7</v>
      </c>
      <c r="B10" s="7"/>
      <c r="C10" s="88"/>
      <c r="D10" s="10"/>
      <c r="E10" s="88"/>
      <c r="F10" s="11"/>
      <c r="G10" s="88"/>
      <c r="H10" s="11"/>
      <c r="I10" s="88"/>
      <c r="J10" s="11"/>
      <c r="K10" s="88"/>
      <c r="L10" s="11"/>
      <c r="M10" s="88"/>
      <c r="N10" s="11"/>
      <c r="O10" s="90"/>
    </row>
    <row r="11" spans="1:15" ht="14.25" thickBot="1">
      <c r="A11" s="86" t="s">
        <v>8</v>
      </c>
      <c r="B11" s="8"/>
      <c r="C11" s="18" t="s">
        <v>9</v>
      </c>
      <c r="D11" s="18"/>
      <c r="E11" s="20" t="s">
        <v>9</v>
      </c>
      <c r="F11" s="18"/>
      <c r="G11" s="20" t="s">
        <v>9</v>
      </c>
      <c r="H11" s="18"/>
      <c r="I11" s="20" t="s">
        <v>9</v>
      </c>
      <c r="J11" s="18"/>
      <c r="K11" s="20" t="s">
        <v>9</v>
      </c>
      <c r="L11" s="18"/>
      <c r="M11" s="20" t="s">
        <v>9</v>
      </c>
      <c r="N11" s="18"/>
      <c r="O11" s="21" t="s">
        <v>10</v>
      </c>
    </row>
    <row r="12" spans="1:15" ht="13.5">
      <c r="A12" s="140"/>
      <c r="B12" s="7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3:15" ht="13.5" thickBot="1">
      <c r="C13" s="98">
        <f>IF(ISERROR(C10/E7),"",IF(C10/E7=0,"",IF(C10/E7&gt;=4,"HIGH","")))</f>
      </c>
      <c r="E13" s="98">
        <f>IF(E15="","",IF(E15=0,"",IF(E15&gt;0.2,"HIGH","")))</f>
      </c>
      <c r="G13" s="98">
        <f>IF(G15="","",IF(G15&lt;0.57,"","HIGH"))</f>
      </c>
      <c r="I13" s="98">
        <f>IF(I15="","",IF(I15&lt;50,"","HIGH"))</f>
      </c>
      <c r="K13" s="98">
        <f>IF(K15="","",IF(K15&lt;60,"","HIGH"))</f>
      </c>
      <c r="M13" s="98">
        <f>IF(M15=0,"",IF(M15="","",IF(M15&gt;400,"","LOW")))</f>
      </c>
      <c r="O13" s="98">
        <f>IF(O15="","",IF(O15&lt;=20,"LOW",""))</f>
      </c>
    </row>
    <row r="14" spans="1:15" ht="13.5" thickTop="1">
      <c r="A14" s="82" t="s">
        <v>51</v>
      </c>
      <c r="B14" s="22"/>
      <c r="C14" s="12" t="s">
        <v>0</v>
      </c>
      <c r="D14" s="24"/>
      <c r="E14" s="99" t="s">
        <v>15</v>
      </c>
      <c r="F14" s="27"/>
      <c r="G14" s="13" t="s">
        <v>2</v>
      </c>
      <c r="H14" s="30"/>
      <c r="I14" s="15" t="s">
        <v>3</v>
      </c>
      <c r="J14" s="33"/>
      <c r="K14" s="14" t="s">
        <v>4</v>
      </c>
      <c r="L14" s="36"/>
      <c r="M14" s="16" t="s">
        <v>5</v>
      </c>
      <c r="N14" s="39"/>
      <c r="O14" s="17" t="s">
        <v>6</v>
      </c>
    </row>
    <row r="15" spans="1:15" ht="12.75">
      <c r="A15" s="83" t="s">
        <v>8</v>
      </c>
      <c r="B15" s="23"/>
      <c r="C15" s="47">
        <f>IF(ISERROR(C10/E7),"",(C10/E7))</f>
      </c>
      <c r="D15" s="25"/>
      <c r="E15" s="46">
        <f>IF(ISERROR(C10/E10),"",(C10/E10))</f>
      </c>
      <c r="F15" s="28"/>
      <c r="G15" s="71">
        <f>IF(ISERROR(((G10/(O10*10))*G7)/(E10/(O10*10))),"",((G10/(O10*10))*G7)/(E10/(O10*10)))</f>
      </c>
      <c r="H15" s="31"/>
      <c r="I15" s="45">
        <f>IF(ISERROR(I10*(1.73/SQRT((C7*E7)/3600))),"",(I10*(1.73/SQRT((C7*E7)/3600))))</f>
      </c>
      <c r="J15" s="34"/>
      <c r="K15" s="92">
        <f>IF(ISERROR(K10),"",K10)</f>
        <v>0</v>
      </c>
      <c r="L15" s="37"/>
      <c r="M15" s="43">
        <f>IF(ISERROR(M10/(E10/1000)),"",IF(M10/(E10/1000)=0,"",(M10/(E10/1000))))</f>
      </c>
      <c r="N15" s="40"/>
      <c r="O15" s="44">
        <f>IF(ISERROR((O10*1000)/E7),"",(O10*1000)/E7)</f>
      </c>
    </row>
    <row r="16" spans="1:15" ht="13.5">
      <c r="A16" s="74" t="s">
        <v>23</v>
      </c>
      <c r="B16" s="42"/>
      <c r="C16" s="1" t="s">
        <v>24</v>
      </c>
      <c r="D16" s="26"/>
      <c r="E16" s="133" t="s">
        <v>68</v>
      </c>
      <c r="F16" s="29"/>
      <c r="G16" s="2" t="s">
        <v>55</v>
      </c>
      <c r="H16" s="32"/>
      <c r="I16" s="5" t="s">
        <v>35</v>
      </c>
      <c r="J16" s="35"/>
      <c r="K16" s="3" t="s">
        <v>9</v>
      </c>
      <c r="L16" s="38"/>
      <c r="M16" s="48" t="s">
        <v>25</v>
      </c>
      <c r="N16" s="41"/>
      <c r="O16" s="4" t="s">
        <v>26</v>
      </c>
    </row>
    <row r="17" spans="1:15" ht="16.5" thickBot="1">
      <c r="A17" s="108" t="s">
        <v>40</v>
      </c>
      <c r="B17" s="109"/>
      <c r="C17" s="101" t="s">
        <v>17</v>
      </c>
      <c r="D17" s="110"/>
      <c r="E17" s="102" t="str">
        <f>IF(O7&lt;0.5,"&lt;0.8",IF(O7&lt;1,"&lt;0.6","&lt;0.2"))</f>
        <v>&lt;0.8</v>
      </c>
      <c r="F17" s="111"/>
      <c r="G17" s="103" t="s">
        <v>18</v>
      </c>
      <c r="H17" s="112"/>
      <c r="I17" s="104" t="s">
        <v>19</v>
      </c>
      <c r="J17" s="113"/>
      <c r="K17" s="105" t="s">
        <v>20</v>
      </c>
      <c r="L17" s="114"/>
      <c r="M17" s="106" t="s">
        <v>21</v>
      </c>
      <c r="N17" s="115"/>
      <c r="O17" s="107" t="s">
        <v>22</v>
      </c>
    </row>
    <row r="18" ht="13.5" thickBot="1"/>
    <row r="19" spans="1:15" ht="12.75">
      <c r="A19" s="82" t="s">
        <v>52</v>
      </c>
      <c r="B19" s="6"/>
      <c r="C19" s="6"/>
      <c r="D19" s="65" t="s">
        <v>0</v>
      </c>
      <c r="E19" s="6" t="s">
        <v>15</v>
      </c>
      <c r="F19" s="6" t="s">
        <v>2</v>
      </c>
      <c r="G19" s="66" t="s">
        <v>3</v>
      </c>
      <c r="H19" s="6" t="s">
        <v>4</v>
      </c>
      <c r="I19" s="6"/>
      <c r="J19" s="6"/>
      <c r="K19" s="6"/>
      <c r="L19" s="6"/>
      <c r="M19" s="6"/>
      <c r="N19" s="6"/>
      <c r="O19" s="49"/>
    </row>
    <row r="20" spans="1:15" ht="12.75">
      <c r="A20" s="83" t="s">
        <v>8</v>
      </c>
      <c r="B20" s="7"/>
      <c r="C20" s="7" t="s">
        <v>13</v>
      </c>
      <c r="D20" s="7" t="e">
        <f>C15*8.25</f>
        <v>#VALUE!</v>
      </c>
      <c r="E20" s="7"/>
      <c r="F20" s="7"/>
      <c r="G20" s="7"/>
      <c r="H20" s="7"/>
      <c r="I20" s="7"/>
      <c r="J20" s="7"/>
      <c r="K20" s="7"/>
      <c r="L20" s="7"/>
      <c r="M20" s="7"/>
      <c r="N20" s="7" t="s">
        <v>5</v>
      </c>
      <c r="O20" s="51" t="s">
        <v>6</v>
      </c>
    </row>
    <row r="21" spans="1:15" ht="12.75">
      <c r="A21" s="50"/>
      <c r="B21" s="7"/>
      <c r="C21" s="7" t="s">
        <v>16</v>
      </c>
      <c r="D21" s="7"/>
      <c r="E21" s="7" t="e">
        <f>(C10/E10)*166.67</f>
        <v>#DIV/0!</v>
      </c>
      <c r="F21" s="7"/>
      <c r="G21" s="7"/>
      <c r="H21" s="7"/>
      <c r="I21" s="7"/>
      <c r="J21" s="7"/>
      <c r="K21" s="7"/>
      <c r="L21" s="7"/>
      <c r="M21" s="7" t="s">
        <v>34</v>
      </c>
      <c r="N21" s="7" t="e">
        <f>M15/12.12</f>
        <v>#VALUE!</v>
      </c>
      <c r="O21" s="51"/>
    </row>
    <row r="22" spans="1:15" ht="12.75">
      <c r="A22" s="50"/>
      <c r="B22" s="7"/>
      <c r="C22" s="7" t="s">
        <v>14</v>
      </c>
      <c r="D22" s="7"/>
      <c r="E22" s="7"/>
      <c r="F22" s="7" t="e">
        <f>G15*57.8947</f>
        <v>#VALUE!</v>
      </c>
      <c r="G22" s="7"/>
      <c r="H22" s="7"/>
      <c r="I22" s="7"/>
      <c r="J22" s="7"/>
      <c r="K22" s="7"/>
      <c r="L22" s="7"/>
      <c r="M22" s="7" t="s">
        <v>33</v>
      </c>
      <c r="N22" s="7"/>
      <c r="O22" s="72" t="e">
        <f>O15*1.6666</f>
        <v>#VALUE!</v>
      </c>
    </row>
    <row r="23" spans="1:15" ht="12.75">
      <c r="A23" s="50"/>
      <c r="B23" s="7"/>
      <c r="C23" s="7" t="s">
        <v>11</v>
      </c>
      <c r="D23" s="7"/>
      <c r="E23" s="7"/>
      <c r="F23" s="7"/>
      <c r="G23" s="7" t="e">
        <f>I15/1.51515</f>
        <v>#VALUE!</v>
      </c>
      <c r="H23" s="7"/>
      <c r="I23" s="7"/>
      <c r="J23" s="7"/>
      <c r="K23" s="7"/>
      <c r="L23" s="7"/>
      <c r="M23" s="7"/>
      <c r="N23" s="7"/>
      <c r="O23" s="51"/>
    </row>
    <row r="24" spans="1:15" ht="12.75">
      <c r="A24" s="50"/>
      <c r="B24" s="7"/>
      <c r="C24" s="7" t="s">
        <v>12</v>
      </c>
      <c r="D24" s="7"/>
      <c r="E24" s="7"/>
      <c r="F24" s="7"/>
      <c r="G24" s="7"/>
      <c r="H24" s="7">
        <f>K10*0.5555</f>
        <v>0</v>
      </c>
      <c r="I24" s="7"/>
      <c r="J24" s="7"/>
      <c r="K24" s="7"/>
      <c r="L24" s="7"/>
      <c r="M24" s="7"/>
      <c r="N24" s="7"/>
      <c r="O24" s="51"/>
    </row>
    <row r="25" spans="1:15" ht="12.75">
      <c r="A25" s="5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1"/>
    </row>
    <row r="26" spans="1:15" ht="12.75">
      <c r="A26" s="50"/>
      <c r="B26" s="7"/>
      <c r="C26" s="7">
        <f>IF(O7&lt;1,0.45,IF(I7="Female",0.55,IF(K7="Yes",0.7,0.55)))</f>
        <v>0.45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1"/>
    </row>
    <row r="27" spans="1:15" ht="12.75">
      <c r="A27" s="5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1"/>
    </row>
    <row r="28" spans="1:15" ht="12.75">
      <c r="A28" s="5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1"/>
    </row>
    <row r="29" spans="1:15" ht="12.75">
      <c r="A29" s="5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1"/>
    </row>
    <row r="30" spans="1:15" ht="12.75">
      <c r="A30" s="5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1"/>
    </row>
    <row r="31" spans="1:15" ht="12.75">
      <c r="A31" s="5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51"/>
    </row>
    <row r="32" spans="1:15" ht="12.75">
      <c r="A32" s="5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51"/>
    </row>
    <row r="33" spans="1:15" ht="12.75">
      <c r="A33" s="5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 t="s">
        <v>64</v>
      </c>
      <c r="N33" s="7" t="s">
        <v>66</v>
      </c>
      <c r="O33" s="51">
        <f>IF(DATEDIF(J5,M7,"y")&lt;=0,DATEDIF(J5,M7,"m")/12,DATEDIF(J5,M7,"m")/12)</f>
        <v>0</v>
      </c>
    </row>
    <row r="34" spans="1:15" ht="12.75">
      <c r="A34" s="5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 t="s">
        <v>65</v>
      </c>
      <c r="N34" s="7" t="s">
        <v>67</v>
      </c>
      <c r="O34" s="51"/>
    </row>
    <row r="35" spans="1:15" ht="4.5" customHeight="1">
      <c r="A35" s="5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51"/>
    </row>
    <row r="36" spans="1:15" ht="13.5">
      <c r="A36" s="50"/>
      <c r="B36" s="7"/>
      <c r="C36" s="67" t="s">
        <v>43</v>
      </c>
      <c r="D36" s="68"/>
      <c r="E36" s="68"/>
      <c r="F36" s="68"/>
      <c r="G36" s="68"/>
      <c r="H36" s="68"/>
      <c r="I36" s="68"/>
      <c r="J36" s="7"/>
      <c r="K36" s="7"/>
      <c r="L36" s="7"/>
      <c r="M36" s="67" t="s">
        <v>45</v>
      </c>
      <c r="N36" s="67"/>
      <c r="O36" s="69"/>
    </row>
    <row r="37" spans="1:15" ht="13.5">
      <c r="A37" s="50"/>
      <c r="B37" s="7"/>
      <c r="C37" s="67" t="s">
        <v>41</v>
      </c>
      <c r="D37" s="68"/>
      <c r="E37" s="68"/>
      <c r="F37" s="68"/>
      <c r="G37" s="68"/>
      <c r="H37" s="68"/>
      <c r="I37" s="68"/>
      <c r="J37" s="7"/>
      <c r="K37" s="7"/>
      <c r="L37" s="7"/>
      <c r="M37" s="67" t="s">
        <v>44</v>
      </c>
      <c r="N37" s="67"/>
      <c r="O37" s="69"/>
    </row>
    <row r="38" spans="1:15" ht="13.5" customHeight="1">
      <c r="A38" s="128" t="str">
        <f>IF(ISERR(O33),"",IF(O33&lt;5,"Note:",""))</f>
        <v>Note:</v>
      </c>
      <c r="B38" s="129" t="str">
        <f>IF(ISERR(O33),"",IF(O33&lt;5,"Reference values are derived from school age children.  Results",""))</f>
        <v>Reference values are derived from school age children.  Results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67" t="s">
        <v>48</v>
      </c>
      <c r="N38" s="67"/>
      <c r="O38" s="69"/>
    </row>
    <row r="39" spans="1:15" ht="13.5" customHeight="1" thickBot="1">
      <c r="A39" s="52"/>
      <c r="B39" s="130" t="str">
        <f>IF(ISERR(O33),"",IF(O33&lt;5,"in younger children should be interpreted with caution.",""))</f>
        <v>in younger children should be interpreted with caution.</v>
      </c>
      <c r="C39" s="7"/>
      <c r="D39" s="7"/>
      <c r="E39" s="7"/>
      <c r="F39" s="7"/>
      <c r="H39" s="7"/>
      <c r="I39" s="7"/>
      <c r="J39" s="7"/>
      <c r="K39" s="7"/>
      <c r="L39" s="7"/>
      <c r="M39" s="62" t="s">
        <v>42</v>
      </c>
      <c r="N39" s="62"/>
      <c r="O39" s="70"/>
    </row>
    <row r="40" spans="2:12" ht="13.5" thickBot="1">
      <c r="B40" s="134">
        <f>DATEDIF(J5,M7,"y")</f>
        <v>0</v>
      </c>
      <c r="C40" s="75"/>
      <c r="D40" s="6"/>
      <c r="E40" s="6"/>
      <c r="F40" s="6"/>
      <c r="G40" s="75"/>
      <c r="H40" s="6"/>
      <c r="I40" s="6"/>
      <c r="J40" s="6"/>
      <c r="K40" s="75"/>
      <c r="L40" s="6"/>
    </row>
    <row r="41" spans="1:15" ht="13.5" thickBot="1">
      <c r="A41" s="82" t="s">
        <v>70</v>
      </c>
      <c r="B41" s="6"/>
      <c r="C41" s="6"/>
      <c r="D41" s="6"/>
      <c r="E41" s="6"/>
      <c r="F41" s="6"/>
      <c r="G41" s="79"/>
      <c r="H41" s="49"/>
      <c r="I41" s="147" t="s">
        <v>77</v>
      </c>
      <c r="J41" s="148"/>
      <c r="K41" s="148"/>
      <c r="L41" s="148"/>
      <c r="M41" s="148"/>
      <c r="N41" s="148"/>
      <c r="O41" s="149"/>
    </row>
    <row r="42" spans="1:15" ht="15.75" thickBot="1">
      <c r="A42" s="142" t="s">
        <v>72</v>
      </c>
      <c r="E42" s="80">
        <f>IF(ISERROR((((E10/(O10*10))*O10*0.69444)/G7)*(1.73/SQRT((C7*E7)/3600))),"",(((E10/(O10*10))*O10*0.69444)/G7)*(1.73/SQRT((C7*E7)/3600)))</f>
      </c>
      <c r="F42" s="136" t="s">
        <v>73</v>
      </c>
      <c r="G42" s="78"/>
      <c r="H42" s="137"/>
      <c r="I42" s="158" t="s">
        <v>80</v>
      </c>
      <c r="J42" s="159"/>
      <c r="K42" s="159"/>
      <c r="L42" s="159"/>
      <c r="M42" s="159"/>
      <c r="N42" s="159"/>
      <c r="O42" s="160"/>
    </row>
    <row r="43" spans="1:15" ht="15.75" thickBot="1">
      <c r="A43" s="142" t="s">
        <v>78</v>
      </c>
      <c r="E43" s="81">
        <f>IF(ISERROR((C26*C7)/G7),"",(C26*C7)/G7)</f>
      </c>
      <c r="F43" s="136" t="s">
        <v>73</v>
      </c>
      <c r="G43" s="78"/>
      <c r="H43" s="137"/>
      <c r="I43" s="158"/>
      <c r="J43" s="159"/>
      <c r="K43" s="159"/>
      <c r="L43" s="159"/>
      <c r="M43" s="159"/>
      <c r="N43" s="159"/>
      <c r="O43" s="160"/>
    </row>
    <row r="44" spans="1:15" ht="15.75" thickBot="1">
      <c r="A44" s="142" t="s">
        <v>71</v>
      </c>
      <c r="E44" s="97">
        <f>IF(ISERROR(SQRT((C7*E7)/3600)),"",SQRT((C7*E7)/3600))</f>
        <v>0</v>
      </c>
      <c r="F44" s="136" t="s">
        <v>74</v>
      </c>
      <c r="G44" s="78"/>
      <c r="H44" s="138"/>
      <c r="I44" s="158"/>
      <c r="J44" s="159"/>
      <c r="K44" s="159"/>
      <c r="L44" s="159"/>
      <c r="M44" s="159"/>
      <c r="N44" s="159"/>
      <c r="O44" s="160"/>
    </row>
    <row r="45" spans="1:15" ht="13.5" thickBot="1">
      <c r="A45" s="50"/>
      <c r="B45" s="8"/>
      <c r="C45" s="8"/>
      <c r="D45" s="8"/>
      <c r="E45" s="8"/>
      <c r="F45" s="8"/>
      <c r="G45" s="8"/>
      <c r="H45" s="53"/>
      <c r="I45" s="158"/>
      <c r="J45" s="159"/>
      <c r="K45" s="159"/>
      <c r="L45" s="159"/>
      <c r="M45" s="159"/>
      <c r="N45" s="159"/>
      <c r="O45" s="160"/>
    </row>
    <row r="46" spans="1:15" ht="13.5">
      <c r="A46" s="143" t="s">
        <v>76</v>
      </c>
      <c r="B46" s="7"/>
      <c r="C46" s="7"/>
      <c r="D46" s="7"/>
      <c r="E46" s="7"/>
      <c r="F46" s="7"/>
      <c r="G46" s="7"/>
      <c r="H46" s="51"/>
      <c r="I46" s="158"/>
      <c r="J46" s="159"/>
      <c r="K46" s="159"/>
      <c r="L46" s="159"/>
      <c r="M46" s="159"/>
      <c r="N46" s="159"/>
      <c r="O46" s="160"/>
    </row>
    <row r="47" spans="1:15" ht="13.5">
      <c r="A47" s="144" t="s">
        <v>75</v>
      </c>
      <c r="B47" s="91"/>
      <c r="C47" s="91"/>
      <c r="D47" s="91"/>
      <c r="E47" s="91"/>
      <c r="F47" s="19" t="s">
        <v>69</v>
      </c>
      <c r="G47" s="91"/>
      <c r="H47" s="139"/>
      <c r="I47" s="158"/>
      <c r="J47" s="159"/>
      <c r="K47" s="159"/>
      <c r="L47" s="159"/>
      <c r="M47" s="159"/>
      <c r="N47" s="159"/>
      <c r="O47" s="160"/>
    </row>
    <row r="48" spans="1:15" ht="15.75">
      <c r="A48" s="145" t="s">
        <v>54</v>
      </c>
      <c r="H48" s="51"/>
      <c r="I48" s="158"/>
      <c r="J48" s="159"/>
      <c r="K48" s="159"/>
      <c r="L48" s="159"/>
      <c r="M48" s="159"/>
      <c r="N48" s="159"/>
      <c r="O48" s="160"/>
    </row>
    <row r="49" spans="1:15" ht="16.5" thickBot="1">
      <c r="A49" s="146" t="s">
        <v>47</v>
      </c>
      <c r="C49" s="7"/>
      <c r="D49" s="7"/>
      <c r="G49" s="77" t="s">
        <v>81</v>
      </c>
      <c r="H49" s="53"/>
      <c r="I49" s="161"/>
      <c r="J49" s="162"/>
      <c r="K49" s="162"/>
      <c r="L49" s="162"/>
      <c r="M49" s="162"/>
      <c r="N49" s="162"/>
      <c r="O49" s="163"/>
    </row>
    <row r="50" spans="1:15" ht="12.75">
      <c r="A50" s="116"/>
      <c r="B50" s="116"/>
      <c r="C50" s="116"/>
      <c r="D50" s="116"/>
      <c r="E50" s="116"/>
      <c r="F50" s="116"/>
      <c r="G50" s="116"/>
      <c r="H50" s="116"/>
      <c r="I50" s="76"/>
      <c r="J50" s="6"/>
      <c r="K50" s="6"/>
      <c r="L50" s="6"/>
      <c r="M50" s="6"/>
      <c r="N50" s="6"/>
      <c r="O50" s="6"/>
    </row>
    <row r="51" spans="1:9" ht="12.75">
      <c r="A51" s="91"/>
      <c r="B51" s="91"/>
      <c r="C51" s="91"/>
      <c r="D51" s="91"/>
      <c r="E51" s="91"/>
      <c r="F51" s="91"/>
      <c r="G51" s="91"/>
      <c r="H51" s="91"/>
      <c r="I51" s="50"/>
    </row>
    <row r="52" spans="1:13" ht="12.75">
      <c r="A52" s="91"/>
      <c r="C52" s="150" t="s">
        <v>82</v>
      </c>
      <c r="D52" s="150"/>
      <c r="E52" s="150"/>
      <c r="F52" s="91"/>
      <c r="G52" s="91"/>
      <c r="H52" s="91"/>
      <c r="I52" s="50"/>
      <c r="K52" s="93">
        <f>M5</f>
        <v>0</v>
      </c>
      <c r="M52" s="135">
        <f>IF(J5=0,"",J5)</f>
      </c>
    </row>
    <row r="53" spans="1:13" ht="12.75">
      <c r="A53" s="117"/>
      <c r="C53" s="151" t="s">
        <v>83</v>
      </c>
      <c r="D53" s="150"/>
      <c r="E53" s="150"/>
      <c r="F53" s="91"/>
      <c r="G53" s="91"/>
      <c r="H53" s="91"/>
      <c r="I53" s="50"/>
      <c r="K53" s="94">
        <f>C5</f>
        <v>0</v>
      </c>
      <c r="L53" s="87"/>
      <c r="M53" s="95">
        <f>G5</f>
        <v>0</v>
      </c>
    </row>
    <row r="54" spans="1:9" ht="12.75">
      <c r="A54" s="91"/>
      <c r="C54" s="91"/>
      <c r="D54" s="91"/>
      <c r="E54" s="91"/>
      <c r="F54" s="91"/>
      <c r="G54" s="91"/>
      <c r="H54" s="91"/>
      <c r="I54" s="50"/>
    </row>
    <row r="55" spans="1:9" ht="12.75">
      <c r="A55" s="91"/>
      <c r="B55" s="91"/>
      <c r="C55" s="91" t="s">
        <v>53</v>
      </c>
      <c r="D55" s="118"/>
      <c r="E55" s="91"/>
      <c r="F55" s="91"/>
      <c r="G55" s="91"/>
      <c r="H55" s="91"/>
      <c r="I55" s="50"/>
    </row>
  </sheetData>
  <sheetProtection password="960C" sheet="1" objects="1" scenarios="1"/>
  <mergeCells count="12">
    <mergeCell ref="I42:O42"/>
    <mergeCell ref="I43:O43"/>
    <mergeCell ref="I44:O44"/>
    <mergeCell ref="I45:O45"/>
    <mergeCell ref="I46:O46"/>
    <mergeCell ref="I47:O47"/>
    <mergeCell ref="I48:O48"/>
    <mergeCell ref="I49:O49"/>
    <mergeCell ref="C5:F5"/>
    <mergeCell ref="G5:I5"/>
    <mergeCell ref="J5:L5"/>
    <mergeCell ref="M5:N5"/>
  </mergeCells>
  <conditionalFormatting sqref="E44">
    <cfRule type="cellIs" priority="1" dxfId="0" operator="equal" stopIfTrue="1">
      <formula>0</formula>
    </cfRule>
  </conditionalFormatting>
  <conditionalFormatting sqref="K13 I13 G13">
    <cfRule type="cellIs" priority="2" dxfId="1" operator="equal" stopIfTrue="1">
      <formula>"HIGH"</formula>
    </cfRule>
  </conditionalFormatting>
  <conditionalFormatting sqref="M13 O13">
    <cfRule type="cellIs" priority="3" dxfId="1" operator="equal" stopIfTrue="1">
      <formula>"LOW"</formula>
    </cfRule>
  </conditionalFormatting>
  <conditionalFormatting sqref="C13 E13">
    <cfRule type="cellIs" priority="4" dxfId="1" operator="equal" stopIfTrue="1">
      <formula>"HIGH"</formula>
    </cfRule>
    <cfRule type="cellIs" priority="5" dxfId="2" operator="notEqual" stopIfTrue="1">
      <formula>"HIGH"</formula>
    </cfRule>
  </conditionalFormatting>
  <dataValidations count="14">
    <dataValidation type="decimal" operator="greaterThanOrEqual" allowBlank="1" showInputMessage="1" showErrorMessage="1" promptTitle="Calcium" prompt="Enter the urinary calcium, in mg/day, from the 24-hour urine sample report." errorTitle="Calcium" error="Please enter a valid number of zero or greater. You may also leave this box blank." sqref="C10">
      <formula1>0</formula1>
    </dataValidation>
    <dataValidation type="decimal" operator="greaterThan" allowBlank="1" showInputMessage="1" showErrorMessage="1" promptTitle="Creatinine" prompt="Enter the urinary creatinine, in mg/day, from the 24-hour urine sample report." errorTitle="Serum Creatinine" error="Please enter a valid number greater than zero.&#10;You may also leave this box blank." sqref="E10">
      <formula1>0</formula1>
    </dataValidation>
    <dataValidation type="decimal" operator="greaterThanOrEqual" allowBlank="1" showInputMessage="1" showErrorMessage="1" promptTitle="Uric Acid" prompt="Enter the uric acid, in mg/day, from the 24-hour urine sample report." errorTitle="Uric Acid" error="Please enter a valid number of zero or greater.  You may also leave this box blank." sqref="G10">
      <formula1>0</formula1>
    </dataValidation>
    <dataValidation type="decimal" operator="greaterThanOrEqual" allowBlank="1" showInputMessage="1" showErrorMessage="1" promptTitle="Oxalate" prompt="Enter the oxalate, in mg/day, from the 24-hour urine sample report." errorTitle="Oxalate" error="Please enter a valid number of zero or greater.  You may also leave this box blank." sqref="I10">
      <formula1>0</formula1>
    </dataValidation>
    <dataValidation type="decimal" operator="greaterThanOrEqual" allowBlank="1" showInputMessage="1" showErrorMessage="1" promptTitle="Cystine" prompt="Enter the cystine, in mg/day, from the 24-hour urine sample report." errorTitle="Cystine" error="Please enter a valid number of zero or greater.  You may also leave this box blank." sqref="K10">
      <formula1>0</formula1>
    </dataValidation>
    <dataValidation type="decimal" operator="greaterThanOrEqual" allowBlank="1" showInputMessage="1" showErrorMessage="1" promptTitle="Citrate" prompt="Enter the citrate, in mg/day, from the 24-hour urine sample report." errorTitle="Citrate" error="Please enter a valid number of zero or greater.  You may also leave this box blank." sqref="M10">
      <formula1>0</formula1>
    </dataValidation>
    <dataValidation type="decimal" operator="greaterThan" allowBlank="1" showInputMessage="1" showErrorMessage="1" promptTitle="Volume" prompt="Enter the total volume of urine for the 24-hour period, in liters." errorTitle="Urine Volume" error="Please enter a valid number greater than zero.  Remember to enter the value in liters." sqref="O10">
      <formula1>0</formula1>
    </dataValidation>
    <dataValidation type="decimal" operator="greaterThan" allowBlank="1" showInputMessage="1" showErrorMessage="1" promptTitle="Serum Creatinine" prompt="Enter the patient's SERUM creatinine, in mg/dl." errorTitle="Creatinine" error="Please enter a number greater than zero." sqref="G7">
      <formula1>0</formula1>
    </dataValidation>
    <dataValidation type="decimal" operator="greaterThan" allowBlank="1" showInputMessage="1" showErrorMessage="1" promptTitle="Height" prompt="Enter the patient's height in centimeters." errorTitle="Height" error="Please enter a number greater than zero." sqref="C7">
      <formula1>0</formula1>
    </dataValidation>
    <dataValidation type="decimal" operator="greaterThan" allowBlank="1" showInputMessage="1" showErrorMessage="1" promptTitle="Weight" prompt="Enter the patient's weight in kilograms." errorTitle="Weight" error="Please enter a number greater than zero." sqref="E7">
      <formula1>0</formula1>
    </dataValidation>
    <dataValidation type="date" operator="greaterThan" allowBlank="1" showInputMessage="1" showErrorMessage="1" promptTitle="Date of Study" prompt="Enter the date the 24-hour urine collection was completed, using the format MM/DD/YY or MM/DD/YYYY." errorTitle="Date of Study" error="Please enter a valid date no earlier than 1/2/1900.  Use the format MM/DD/YY or MM/DD/YYYY." sqref="M7">
      <formula1>1</formula1>
    </dataValidation>
    <dataValidation type="date" operator="greaterThan" allowBlank="1" showInputMessage="1" showErrorMessage="1" sqref="J5:L5">
      <formula1>1</formula1>
    </dataValidation>
    <dataValidation type="list" allowBlank="1" showInputMessage="1" showErrorMessage="1" promptTitle="Sex" prompt="Click on the yellow box and use the pull-down menu to select Male or Female." sqref="I7">
      <formula1>$M$33:$M$34</formula1>
    </dataValidation>
    <dataValidation type="list" allowBlank="1" showInputMessage="1" showErrorMessage="1" promptTitle="Pubertal Status" prompt="Click on the yellow box and use the pull-down menu to select &quot;Yes&quot; if the patient has entered puberty, and &quot;No&quot; if the patient has not." sqref="K7">
      <formula1>$N$33:$N$34</formula1>
    </dataValidation>
  </dataValidations>
  <printOptions/>
  <pageMargins left="0.7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Childrens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rgille</dc:creator>
  <cp:keywords/>
  <dc:description/>
  <cp:lastModifiedBy>Robert S. Gillespie, M.D.</cp:lastModifiedBy>
  <cp:lastPrinted>2004-11-10T14:42:25Z</cp:lastPrinted>
  <dcterms:created xsi:type="dcterms:W3CDTF">2002-02-01T23:57:23Z</dcterms:created>
  <dcterms:modified xsi:type="dcterms:W3CDTF">2004-12-30T20:32:02Z</dcterms:modified>
  <cp:category/>
  <cp:version/>
  <cp:contentType/>
  <cp:contentStatus/>
</cp:coreProperties>
</file>